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\data\Kuliah\KULIAH\MAGISTER\RENY\THESIS\Jurnal\"/>
    </mc:Choice>
  </mc:AlternateContent>
  <bookViews>
    <workbookView xWindow="0" yWindow="0" windowWidth="20490" windowHeight="7605" activeTab="3"/>
  </bookViews>
  <sheets>
    <sheet name="Sel" sheetId="2" r:id="rId1"/>
    <sheet name="TGR" sheetId="1" r:id="rId2"/>
    <sheet name="Yield" sheetId="3" r:id="rId3"/>
    <sheet name="Kinetika" sheetId="4" r:id="rId4"/>
  </sheets>
  <externalReferences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F3" i="4"/>
  <c r="F4" i="4"/>
  <c r="F5" i="4"/>
  <c r="F6" i="4"/>
  <c r="G14" i="3" l="1"/>
  <c r="I9" i="3" l="1"/>
  <c r="B20" i="3" l="1"/>
  <c r="B2" i="3"/>
  <c r="A20" i="3"/>
  <c r="A2" i="3"/>
  <c r="D10" i="3"/>
  <c r="C20" i="3" l="1"/>
  <c r="D20" i="3" s="1"/>
  <c r="B24" i="3"/>
  <c r="B21" i="3"/>
  <c r="B22" i="3"/>
  <c r="B23" i="3"/>
  <c r="A23" i="3"/>
  <c r="A24" i="3"/>
  <c r="C24" i="3" s="1"/>
  <c r="D24" i="3" s="1"/>
  <c r="A21" i="3"/>
  <c r="A22" i="3"/>
  <c r="C21" i="3"/>
  <c r="D21" i="3" s="1"/>
  <c r="C22" i="3"/>
  <c r="D22" i="3" s="1"/>
  <c r="C23" i="3"/>
  <c r="D23" i="3" s="1"/>
  <c r="L3" i="2" l="1"/>
  <c r="L4" i="2"/>
  <c r="L5" i="2"/>
  <c r="L6" i="2"/>
  <c r="L2" i="2"/>
  <c r="P10" i="1" l="1"/>
  <c r="P11" i="1"/>
  <c r="P12" i="1"/>
  <c r="P13" i="1"/>
  <c r="P9" i="1"/>
  <c r="F9" i="3" l="1"/>
  <c r="B3" i="3" s="1"/>
  <c r="D9" i="3"/>
  <c r="B6" i="3"/>
  <c r="B5" i="3" l="1"/>
  <c r="B4" i="3"/>
  <c r="I7" i="1" l="1"/>
  <c r="I6" i="1"/>
  <c r="I5" i="1"/>
  <c r="I4" i="1"/>
  <c r="I3" i="1"/>
  <c r="D2" i="3" l="1"/>
  <c r="Q4" i="1"/>
  <c r="Q5" i="1"/>
  <c r="Q6" i="1"/>
  <c r="Q7" i="1"/>
  <c r="Q3" i="1"/>
  <c r="A3" i="3" l="1"/>
  <c r="A4" i="3"/>
  <c r="A5" i="3"/>
  <c r="A6" i="3"/>
  <c r="C2" i="3"/>
  <c r="L6" i="1"/>
  <c r="H2" i="2"/>
  <c r="P3" i="1"/>
  <c r="D14" i="3"/>
  <c r="C6" i="3" l="1"/>
  <c r="D3" i="3"/>
  <c r="D4" i="3"/>
  <c r="D6" i="3"/>
  <c r="C3" i="3"/>
  <c r="C4" i="3"/>
  <c r="C5" i="3"/>
  <c r="E3" i="3" l="1"/>
  <c r="E6" i="3"/>
  <c r="E4" i="3"/>
  <c r="M26" i="1" l="1"/>
  <c r="M23" i="1"/>
  <c r="M22" i="1"/>
  <c r="M21" i="1"/>
  <c r="M20" i="1"/>
  <c r="M19" i="1"/>
  <c r="E14" i="1"/>
  <c r="E15" i="1"/>
  <c r="E16" i="1"/>
  <c r="E17" i="1"/>
  <c r="E13" i="1"/>
  <c r="D16" i="1"/>
  <c r="D17" i="1"/>
  <c r="D14" i="1"/>
  <c r="D15" i="1"/>
  <c r="D13" i="1"/>
  <c r="C14" i="1"/>
  <c r="C15" i="1"/>
  <c r="C16" i="1"/>
  <c r="C17" i="1"/>
  <c r="C13" i="1"/>
  <c r="G25" i="1"/>
  <c r="E25" i="1"/>
  <c r="D25" i="1"/>
  <c r="F25" i="1" s="1"/>
  <c r="H25" i="1" s="1"/>
  <c r="E24" i="1"/>
  <c r="G24" i="1" s="1"/>
  <c r="D24" i="1"/>
  <c r="F24" i="1" s="1"/>
  <c r="F23" i="1"/>
  <c r="E23" i="1"/>
  <c r="G23" i="1" s="1"/>
  <c r="D23" i="1"/>
  <c r="G22" i="1"/>
  <c r="F22" i="1"/>
  <c r="H22" i="1" s="1"/>
  <c r="E22" i="1"/>
  <c r="D22" i="1"/>
  <c r="G21" i="1"/>
  <c r="E21" i="1"/>
  <c r="D21" i="1"/>
  <c r="F21" i="1" s="1"/>
  <c r="H21" i="1" s="1"/>
  <c r="N7" i="1"/>
  <c r="M7" i="1"/>
  <c r="O7" i="1" s="1"/>
  <c r="L7" i="1"/>
  <c r="O6" i="1"/>
  <c r="N6" i="1"/>
  <c r="P6" i="1" s="1"/>
  <c r="D5" i="3" s="1"/>
  <c r="M6" i="1"/>
  <c r="E5" i="3" l="1"/>
  <c r="H23" i="1"/>
  <c r="H24" i="1"/>
  <c r="P7" i="1"/>
  <c r="F10" i="3" l="1"/>
  <c r="H4" i="1"/>
  <c r="H5" i="1"/>
  <c r="H6" i="1"/>
  <c r="H7" i="1"/>
  <c r="H3" i="1"/>
  <c r="C3" i="1"/>
  <c r="H6" i="2"/>
  <c r="I6" i="2" s="1"/>
  <c r="J6" i="2" s="1"/>
  <c r="K6" i="2" s="1"/>
  <c r="H5" i="2"/>
  <c r="I5" i="2" s="1"/>
  <c r="J5" i="2" s="1"/>
  <c r="K5" i="2" s="1"/>
  <c r="H4" i="2"/>
  <c r="I4" i="2" s="1"/>
  <c r="J4" i="2" s="1"/>
  <c r="K4" i="2" s="1"/>
  <c r="D4" i="2"/>
  <c r="H3" i="2"/>
  <c r="I3" i="2" s="1"/>
  <c r="J3" i="2" s="1"/>
  <c r="K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I2" i="2"/>
  <c r="B2" i="2"/>
  <c r="D3" i="2" s="1"/>
  <c r="F6" i="1"/>
  <c r="F7" i="1"/>
  <c r="E6" i="1"/>
  <c r="D7" i="1"/>
  <c r="C7" i="1"/>
  <c r="E7" i="1" s="1"/>
  <c r="D6" i="1"/>
  <c r="C6" i="1"/>
  <c r="D5" i="1"/>
  <c r="F5" i="1" s="1"/>
  <c r="C5" i="1"/>
  <c r="E5" i="1" s="1"/>
  <c r="D4" i="1"/>
  <c r="F4" i="1" s="1"/>
  <c r="C4" i="1"/>
  <c r="D3" i="1"/>
  <c r="F3" i="1" s="1"/>
  <c r="E3" i="1"/>
  <c r="M5" i="1"/>
  <c r="O5" i="1" s="1"/>
  <c r="L5" i="1"/>
  <c r="N5" i="1" s="1"/>
  <c r="M4" i="1"/>
  <c r="O4" i="1" s="1"/>
  <c r="L4" i="1"/>
  <c r="N4" i="1" s="1"/>
  <c r="M3" i="1"/>
  <c r="O3" i="1" s="1"/>
  <c r="L3" i="1"/>
  <c r="N3" i="1" s="1"/>
  <c r="J2" i="2" l="1"/>
  <c r="E2" i="3" s="1"/>
  <c r="B3" i="2"/>
  <c r="B4" i="2" s="1"/>
  <c r="B5" i="2" s="1"/>
  <c r="B6" i="2" s="1"/>
  <c r="B7" i="2" s="1"/>
  <c r="B8" i="2" s="1"/>
  <c r="B9" i="2" s="1"/>
  <c r="B10" i="2" s="1"/>
  <c r="B11" i="2" s="1"/>
  <c r="B12" i="2" s="1"/>
  <c r="P4" i="1"/>
  <c r="E4" i="1"/>
  <c r="G4" i="1" s="1"/>
  <c r="P5" i="1"/>
  <c r="G6" i="1"/>
  <c r="G5" i="1"/>
  <c r="G3" i="1"/>
  <c r="G7" i="1"/>
  <c r="K2" i="2" l="1"/>
</calcChain>
</file>

<file path=xl/sharedStrings.xml><?xml version="1.0" encoding="utf-8"?>
<sst xmlns="http://schemas.openxmlformats.org/spreadsheetml/2006/main" count="59" uniqueCount="47">
  <si>
    <t>Sampel</t>
  </si>
  <si>
    <t>Absorbansi Jam ke-24</t>
  </si>
  <si>
    <t>TGR (x)</t>
  </si>
  <si>
    <t>TGR (x*pengenceran)</t>
  </si>
  <si>
    <t>Rata-rata</t>
  </si>
  <si>
    <t>A</t>
  </si>
  <si>
    <t>B</t>
  </si>
  <si>
    <t>C</t>
  </si>
  <si>
    <t>D</t>
  </si>
  <si>
    <t>E</t>
  </si>
  <si>
    <t>Absorbansi Jam ke-0</t>
  </si>
  <si>
    <t>Rata-rata (mg/ml)</t>
  </si>
  <si>
    <t>OD</t>
  </si>
  <si>
    <t>Σ sel (log)</t>
  </si>
  <si>
    <t>OD Jam ke-24</t>
  </si>
  <si>
    <t>CFU/ml</t>
  </si>
  <si>
    <t>Berat saccharomyces cerevisiae</t>
  </si>
  <si>
    <t>Kadar air yeast</t>
  </si>
  <si>
    <t>gram/sel</t>
  </si>
  <si>
    <t>Berat sel</t>
  </si>
  <si>
    <t>Rata-rata (mg/20 ml)</t>
  </si>
  <si>
    <t>Sel awal di media cacing (20 ml)</t>
  </si>
  <si>
    <t>mg/ml</t>
  </si>
  <si>
    <t>mg/sel</t>
  </si>
  <si>
    <t>TGR (x*pngenceran)</t>
  </si>
  <si>
    <t>gram/20 ml</t>
  </si>
  <si>
    <t>gram/ml</t>
  </si>
  <si>
    <t>1000 mg/ml</t>
  </si>
  <si>
    <t>0,1 g/100 ml</t>
  </si>
  <si>
    <t>Σ sel x 10⁸ (CFU/ml)</t>
  </si>
  <si>
    <r>
      <t>Faktor Pengenceran (10</t>
    </r>
    <r>
      <rPr>
        <b/>
        <sz val="11"/>
        <color theme="1"/>
        <rFont val="Calibri"/>
        <family val="2"/>
      </rPr>
      <t>¹</t>
    </r>
    <r>
      <rPr>
        <b/>
        <sz val="11"/>
        <color theme="1"/>
        <rFont val="Calibri"/>
        <family val="2"/>
        <scheme val="minor"/>
      </rPr>
      <t>)</t>
    </r>
  </si>
  <si>
    <t xml:space="preserve"> Σ sel (CFU/ml)</t>
  </si>
  <si>
    <t>Y(x awal) mg/ml</t>
  </si>
  <si>
    <t>x akhir- x awal</t>
  </si>
  <si>
    <t>S awal- S akhir</t>
  </si>
  <si>
    <t>SD</t>
  </si>
  <si>
    <t xml:space="preserve"> </t>
  </si>
  <si>
    <t>s</t>
  </si>
  <si>
    <t>Y(x/s)</t>
  </si>
  <si>
    <t>Berat</t>
  </si>
  <si>
    <t>v ((xt-x0)/t) mg/ml</t>
  </si>
  <si>
    <t>log</t>
  </si>
  <si>
    <t>ln X</t>
  </si>
  <si>
    <t>ln X0</t>
  </si>
  <si>
    <t>ln X-X0</t>
  </si>
  <si>
    <t>ln X-X0/t</t>
  </si>
  <si>
    <t>Y(x akhir) 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</si>
</sst>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164" formatCode="0.000"/>
    <numFmt numFmtId="165" formatCode="_(* #,##0.000_);_(* \(#,##0.000\);_(* &quot;-&quot;_);_(@_)"/>
    <numFmt numFmtId="166" formatCode="0.000E+00"/>
    <numFmt numFmtId="167" formatCode="0.00.E+00"/>
    <numFmt numFmtId="168" formatCode="_(* #,##0.000_);_(* \(#,##0.000\);_(* &quot;-&quot;???_);_(@_)"/>
    <numFmt numFmtId="169" formatCode="0.0000"/>
    <numFmt numFmtId="170" formatCode="0.00000"/>
    <numFmt numFmtId="171" formatCode="0.0000000"/>
    <numFmt numFmtId="172" formatCode="0.00000E+00"/>
    <numFmt numFmtId="173" formatCode="0.00000000000"/>
    <numFmt numFmtId="174" formatCode="0.000000000"/>
    <numFmt numFmtId="175" formatCode="0.E+00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4" xfId="0" applyNumberFormat="1" applyBorder="1"/>
    <xf numFmtId="164" fontId="0" fillId="0" borderId="4" xfId="0" applyNumberFormat="1" applyFill="1" applyBorder="1"/>
    <xf numFmtId="0" fontId="0" fillId="0" borderId="0" xfId="0" applyBorder="1"/>
    <xf numFmtId="0" fontId="4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/>
    <xf numFmtId="9" fontId="0" fillId="0" borderId="0" xfId="0" applyNumberFormat="1"/>
    <xf numFmtId="164" fontId="0" fillId="0" borderId="0" xfId="0" applyNumberFormat="1" applyBorder="1"/>
    <xf numFmtId="166" fontId="0" fillId="0" borderId="0" xfId="0" applyNumberFormat="1"/>
    <xf numFmtId="167" fontId="0" fillId="0" borderId="0" xfId="0" applyNumberFormat="1"/>
    <xf numFmtId="164" fontId="0" fillId="0" borderId="0" xfId="0" applyNumberFormat="1" applyFill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0" fillId="0" borderId="0" xfId="0" applyFill="1" applyBorder="1"/>
    <xf numFmtId="0" fontId="4" fillId="0" borderId="4" xfId="0" applyFont="1" applyFill="1" applyBorder="1" applyAlignment="1">
      <alignment horizontal="center" vertical="center"/>
    </xf>
    <xf numFmtId="165" fontId="0" fillId="0" borderId="4" xfId="0" applyNumberFormat="1" applyBorder="1"/>
    <xf numFmtId="165" fontId="0" fillId="0" borderId="4" xfId="1" applyNumberFormat="1" applyFont="1" applyBorder="1"/>
    <xf numFmtId="0" fontId="3" fillId="0" borderId="0" xfId="0" applyFont="1" applyBorder="1"/>
    <xf numFmtId="168" fontId="0" fillId="0" borderId="0" xfId="0" applyNumberFormat="1" applyBorder="1"/>
    <xf numFmtId="165" fontId="0" fillId="2" borderId="4" xfId="0" applyNumberFormat="1" applyFill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Fill="1" applyBorder="1" applyAlignment="1">
      <alignment horizontal="center" vertical="center"/>
    </xf>
    <xf numFmtId="171" fontId="0" fillId="0" borderId="0" xfId="0" applyNumberFormat="1" applyBorder="1"/>
    <xf numFmtId="169" fontId="0" fillId="0" borderId="4" xfId="0" applyNumberFormat="1" applyBorder="1" applyAlignment="1">
      <alignment horizontal="center" vertical="center"/>
    </xf>
    <xf numFmtId="170" fontId="0" fillId="0" borderId="0" xfId="0" applyNumberFormat="1" applyBorder="1"/>
    <xf numFmtId="9" fontId="0" fillId="0" borderId="4" xfId="0" applyNumberFormat="1" applyBorder="1"/>
    <xf numFmtId="1" fontId="0" fillId="0" borderId="0" xfId="0" applyNumberFormat="1"/>
    <xf numFmtId="164" fontId="3" fillId="0" borderId="0" xfId="0" applyNumberFormat="1" applyFont="1"/>
    <xf numFmtId="172" fontId="0" fillId="0" borderId="0" xfId="0" applyNumberFormat="1"/>
    <xf numFmtId="173" fontId="0" fillId="0" borderId="0" xfId="0" applyNumberFormat="1" applyFill="1" applyBorder="1"/>
    <xf numFmtId="173" fontId="0" fillId="0" borderId="0" xfId="0" applyNumberFormat="1"/>
    <xf numFmtId="0" fontId="3" fillId="0" borderId="4" xfId="0" applyFont="1" applyBorder="1" applyAlignment="1">
      <alignment horizontal="center"/>
    </xf>
    <xf numFmtId="174" fontId="0" fillId="0" borderId="0" xfId="0" applyNumberFormat="1"/>
    <xf numFmtId="175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 b="1"/>
              <a:t>Kurva Baku </a:t>
            </a:r>
            <a:r>
              <a:rPr lang="id-ID" sz="1200" b="1" i="1"/>
              <a:t>Saccharomyces cerevisiae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d-ID"/>
                </a:p>
              </c:txPr>
            </c:trendlineLbl>
          </c:trendline>
          <c:xVal>
            <c:numRef>
              <c:f>[1]Sheet1!$A$2:$A$12</c:f>
              <c:numCache>
                <c:formatCode>General</c:formatCode>
                <c:ptCount val="11"/>
                <c:pt idx="0">
                  <c:v>1.016</c:v>
                </c:pt>
                <c:pt idx="1">
                  <c:v>0.92456000000000005</c:v>
                </c:pt>
                <c:pt idx="2">
                  <c:v>0.83312000000000008</c:v>
                </c:pt>
                <c:pt idx="3">
                  <c:v>0.74168000000000012</c:v>
                </c:pt>
                <c:pt idx="4">
                  <c:v>0.65024000000000015</c:v>
                </c:pt>
                <c:pt idx="5">
                  <c:v>0.55880000000000019</c:v>
                </c:pt>
                <c:pt idx="6">
                  <c:v>0.46736000000000022</c:v>
                </c:pt>
                <c:pt idx="7">
                  <c:v>0.37592000000000025</c:v>
                </c:pt>
                <c:pt idx="8">
                  <c:v>0.28448000000000029</c:v>
                </c:pt>
                <c:pt idx="9">
                  <c:v>0.19304000000000029</c:v>
                </c:pt>
                <c:pt idx="10">
                  <c:v>0.1016000000000003</c:v>
                </c:pt>
              </c:numCache>
            </c:numRef>
          </c:xVal>
          <c:yVal>
            <c:numRef>
              <c:f>[1]Sheet1!$B$2:$B$12</c:f>
              <c:numCache>
                <c:formatCode>General</c:formatCode>
                <c:ptCount val="11"/>
                <c:pt idx="0">
                  <c:v>8.3424226808222066</c:v>
                </c:pt>
                <c:pt idx="1">
                  <c:v>8.2589804127399855</c:v>
                </c:pt>
                <c:pt idx="2">
                  <c:v>8.1755381446577644</c:v>
                </c:pt>
                <c:pt idx="3">
                  <c:v>8.0920958765755433</c:v>
                </c:pt>
                <c:pt idx="4">
                  <c:v>8.0086536084933222</c:v>
                </c:pt>
                <c:pt idx="5">
                  <c:v>7.9252113404111011</c:v>
                </c:pt>
                <c:pt idx="6">
                  <c:v>7.84176907232888</c:v>
                </c:pt>
                <c:pt idx="7">
                  <c:v>7.7583268042466589</c:v>
                </c:pt>
                <c:pt idx="8">
                  <c:v>7.6748845361644378</c:v>
                </c:pt>
                <c:pt idx="9">
                  <c:v>7.5914422680822167</c:v>
                </c:pt>
                <c:pt idx="10">
                  <c:v>7.5079999999999956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034288"/>
        <c:axId val="225040560"/>
      </c:scatterChart>
      <c:valAx>
        <c:axId val="225034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/>
                  <a:t>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25040560"/>
        <c:crosses val="autoZero"/>
        <c:crossBetween val="midCat"/>
      </c:valAx>
      <c:valAx>
        <c:axId val="225040560"/>
        <c:scaling>
          <c:orientation val="minMax"/>
          <c:min val="7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/>
                  <a:t>Σ </a:t>
                </a:r>
                <a:r>
                  <a:rPr lang="id-ID" b="1"/>
                  <a:t>sel (log)</a:t>
                </a:r>
              </a:p>
            </c:rich>
          </c:tx>
          <c:layout>
            <c:manualLayout>
              <c:xMode val="edge"/>
              <c:yMode val="edge"/>
              <c:x val="2.6822164823258828E-2"/>
              <c:y val="0.377758457276173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25034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Kinetika!$F$1</c:f>
              <c:strCache>
                <c:ptCount val="1"/>
                <c:pt idx="0">
                  <c:v>v ((xt-x0)/t) mg/ml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id-ID"/>
                </a:p>
              </c:txPr>
            </c:trendlineLbl>
          </c:trendline>
          <c:xVal>
            <c:numRef>
              <c:f>Kinetika!$E$2:$E$6</c:f>
              <c:numCache>
                <c:formatCode>0%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</c:numCache>
            </c:numRef>
          </c:xVal>
          <c:yVal>
            <c:numRef>
              <c:f>Kinetika!$F$2:$F$6</c:f>
              <c:numCache>
                <c:formatCode>0.000</c:formatCode>
                <c:ptCount val="5"/>
                <c:pt idx="0">
                  <c:v>0.30439381206591581</c:v>
                </c:pt>
                <c:pt idx="1">
                  <c:v>0.31673782683788859</c:v>
                </c:pt>
                <c:pt idx="2">
                  <c:v>0.32549244724354287</c:v>
                </c:pt>
                <c:pt idx="3">
                  <c:v>0.33424706764919748</c:v>
                </c:pt>
                <c:pt idx="4">
                  <c:v>0.34203867981022978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040952"/>
        <c:axId val="225033504"/>
      </c:scatterChart>
      <c:valAx>
        <c:axId val="225040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</a:t>
                </a:r>
                <a:r>
                  <a:rPr lang="id-ID"/>
                  <a:t>ercentage of</a:t>
                </a:r>
                <a:r>
                  <a:rPr lang="id-ID" baseline="0"/>
                  <a:t> Dextrose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d-ID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d-ID"/>
          </a:p>
        </c:txPr>
        <c:crossAx val="225033504"/>
        <c:crosses val="autoZero"/>
        <c:crossBetween val="midCat"/>
      </c:valAx>
      <c:valAx>
        <c:axId val="22503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d-ID"/>
                  <a:t>Specific Growth Rate (µ)/h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5.15970399533391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d-ID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d-ID"/>
          </a:p>
        </c:txPr>
        <c:crossAx val="225040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42168</xdr:colOff>
      <xdr:row>6</xdr:row>
      <xdr:rowOff>60613</xdr:rowOff>
    </xdr:from>
    <xdr:to>
      <xdr:col>7</xdr:col>
      <xdr:colOff>718706</xdr:colOff>
      <xdr:row>18</xdr:row>
      <xdr:rowOff>132596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52387</xdr:rowOff>
    </xdr:from>
    <xdr:to>
      <xdr:col>12</xdr:col>
      <xdr:colOff>190500</xdr:colOff>
      <xdr:row>21</xdr:row>
      <xdr:rowOff>128587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/data/Kuliah/KULIAH/MAGISTER/RENY/THESIS/Data%20tesis/daa%20pendekatan%20(Recover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/data/Kuliah/KULIAH/MAGISTER/RENY/THESIS/Data%20tesis/UJI%20TIAP%20ME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A2">
            <v>1.016</v>
          </cell>
          <cell r="B2">
            <v>8.3424226808222066</v>
          </cell>
        </row>
        <row r="3">
          <cell r="A3">
            <v>0.92456000000000005</v>
          </cell>
          <cell r="B3">
            <v>8.2589804127399855</v>
          </cell>
        </row>
        <row r="4">
          <cell r="A4">
            <v>0.83312000000000008</v>
          </cell>
          <cell r="B4">
            <v>8.1755381446577644</v>
          </cell>
        </row>
        <row r="5">
          <cell r="A5">
            <v>0.74168000000000012</v>
          </cell>
          <cell r="B5">
            <v>8.0920958765755433</v>
          </cell>
        </row>
        <row r="6">
          <cell r="A6">
            <v>0.65024000000000015</v>
          </cell>
          <cell r="B6">
            <v>8.0086536084933222</v>
          </cell>
        </row>
        <row r="7">
          <cell r="A7">
            <v>0.55880000000000019</v>
          </cell>
          <cell r="B7">
            <v>7.9252113404111011</v>
          </cell>
        </row>
        <row r="8">
          <cell r="A8">
            <v>0.46736000000000022</v>
          </cell>
          <cell r="B8">
            <v>7.84176907232888</v>
          </cell>
        </row>
        <row r="9">
          <cell r="A9">
            <v>0.37592000000000025</v>
          </cell>
          <cell r="B9">
            <v>7.7583268042466589</v>
          </cell>
        </row>
        <row r="10">
          <cell r="A10">
            <v>0.28448000000000029</v>
          </cell>
          <cell r="B10">
            <v>7.6748845361644378</v>
          </cell>
        </row>
        <row r="11">
          <cell r="A11">
            <v>0.19304000000000029</v>
          </cell>
          <cell r="B11">
            <v>7.5914422680822167</v>
          </cell>
        </row>
        <row r="12">
          <cell r="A12">
            <v>0.1016000000000003</v>
          </cell>
          <cell r="B12">
            <v>7.5079999999999956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4">
          <cell r="G14">
            <v>0.74687843372290463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9" sqref="I9"/>
    </sheetView>
  </sheetViews>
  <sheetFormatPr defaultRowHeight="15" x14ac:dyDescent="0.25"/>
  <cols>
    <col min="7" max="7" width="13" bestFit="1" customWidth="1"/>
    <col min="8" max="8" width="16.5703125" bestFit="1" customWidth="1"/>
    <col min="9" max="9" width="23.42578125" bestFit="1" customWidth="1"/>
    <col min="10" max="10" width="16.28515625" bestFit="1" customWidth="1"/>
    <col min="11" max="11" width="18.85546875" bestFit="1" customWidth="1"/>
    <col min="12" max="12" width="16.28515625" bestFit="1" customWidth="1"/>
    <col min="14" max="14" width="13.42578125" bestFit="1" customWidth="1"/>
  </cols>
  <sheetData>
    <row r="1" spans="1:12" x14ac:dyDescent="0.25">
      <c r="A1" s="3" t="s">
        <v>12</v>
      </c>
      <c r="B1" s="9" t="s">
        <v>13</v>
      </c>
      <c r="F1" s="3" t="s">
        <v>0</v>
      </c>
      <c r="G1" s="3" t="s">
        <v>14</v>
      </c>
      <c r="H1" s="9" t="s">
        <v>13</v>
      </c>
      <c r="I1" s="3" t="s">
        <v>30</v>
      </c>
      <c r="J1" s="3" t="s">
        <v>31</v>
      </c>
      <c r="K1" s="23" t="s">
        <v>29</v>
      </c>
      <c r="L1" s="26" t="s">
        <v>39</v>
      </c>
    </row>
    <row r="2" spans="1:12" x14ac:dyDescent="0.25">
      <c r="A2" s="10">
        <v>1.016</v>
      </c>
      <c r="B2" s="10">
        <f>LOG(2.2*100000000)</f>
        <v>8.3424226808222066</v>
      </c>
      <c r="F2" s="11" t="s">
        <v>5</v>
      </c>
      <c r="G2" s="11">
        <v>0.193</v>
      </c>
      <c r="H2" s="6">
        <f>(0.9125*G2+7.4153)</f>
        <v>7.5914125000000006</v>
      </c>
      <c r="I2" s="6">
        <f>1+H2</f>
        <v>8.5914125000000006</v>
      </c>
      <c r="J2" s="25">
        <f>10^I2</f>
        <v>390312535.90037572</v>
      </c>
      <c r="K2" s="24">
        <f>J2/100000000</f>
        <v>3.9031253590037571</v>
      </c>
      <c r="L2" s="27">
        <f>J2*Yield!$D$14</f>
        <v>22.217790505098311</v>
      </c>
    </row>
    <row r="3" spans="1:12" x14ac:dyDescent="0.25">
      <c r="A3" s="10">
        <f>A2-($D$4/10)</f>
        <v>0.92456000000000005</v>
      </c>
      <c r="B3" s="10">
        <f>B2-($D$3/10)</f>
        <v>8.2589804127399855</v>
      </c>
      <c r="D3" s="13">
        <f>B2-7.508</f>
        <v>0.83442268082220661</v>
      </c>
      <c r="F3" s="11" t="s">
        <v>6</v>
      </c>
      <c r="G3" s="11">
        <v>0.33400000000000002</v>
      </c>
      <c r="H3" s="6">
        <f>(0.9125*G3+7.4153)</f>
        <v>7.7200750000000005</v>
      </c>
      <c r="I3" s="6">
        <f>1+H3</f>
        <v>8.7200750000000014</v>
      </c>
      <c r="J3" s="25">
        <f>10^I3</f>
        <v>524898099.11353886</v>
      </c>
      <c r="K3" s="28">
        <f>J3/100000000</f>
        <v>5.2489809911353884</v>
      </c>
      <c r="L3" s="27">
        <f>J3*Yield!$D$14</f>
        <v>29.878814872616829</v>
      </c>
    </row>
    <row r="4" spans="1:12" x14ac:dyDescent="0.25">
      <c r="A4" s="10">
        <f t="shared" ref="A4:A12" si="0">A3-($D$4/10)</f>
        <v>0.83312000000000008</v>
      </c>
      <c r="B4" s="10">
        <f t="shared" ref="B4:B12" si="1">B3-($D$3/10)</f>
        <v>8.1755381446577644</v>
      </c>
      <c r="D4" s="13">
        <f>A2-0.1016</f>
        <v>0.91439999999999999</v>
      </c>
      <c r="F4" s="11" t="s">
        <v>7</v>
      </c>
      <c r="G4" s="11">
        <v>0.434</v>
      </c>
      <c r="H4" s="6">
        <f>(0.9125*G4+7.4153)</f>
        <v>7.8113250000000001</v>
      </c>
      <c r="I4" s="6">
        <f>1+H4</f>
        <v>8.8113250000000001</v>
      </c>
      <c r="J4" s="25">
        <f>10^I4</f>
        <v>647627079.80344915</v>
      </c>
      <c r="K4" s="24">
        <f>J4/100000000</f>
        <v>6.4762707980344913</v>
      </c>
      <c r="L4" s="27">
        <f>J4*Yield!$D$14</f>
        <v>36.864926081119414</v>
      </c>
    </row>
    <row r="5" spans="1:12" x14ac:dyDescent="0.25">
      <c r="A5" s="10">
        <f t="shared" si="0"/>
        <v>0.74168000000000012</v>
      </c>
      <c r="B5" s="10">
        <f t="shared" si="1"/>
        <v>8.0920958765755433</v>
      </c>
      <c r="F5" s="11" t="s">
        <v>8</v>
      </c>
      <c r="G5" s="11">
        <v>0.53400000000000003</v>
      </c>
      <c r="H5" s="6">
        <f>(0.9125*G5+7.4153)</f>
        <v>7.9025750000000006</v>
      </c>
      <c r="I5" s="6">
        <f>1+H5</f>
        <v>8.9025750000000006</v>
      </c>
      <c r="J5" s="25">
        <f>10^I5</f>
        <v>799051921.13111949</v>
      </c>
      <c r="K5" s="24">
        <f>J5/100000000</f>
        <v>7.9905192113111951</v>
      </c>
      <c r="L5" s="27">
        <f>J5*Yield!$D$14</f>
        <v>45.484493972079107</v>
      </c>
    </row>
    <row r="6" spans="1:12" x14ac:dyDescent="0.25">
      <c r="A6" s="10">
        <f t="shared" si="0"/>
        <v>0.65024000000000015</v>
      </c>
      <c r="B6" s="10">
        <f t="shared" si="1"/>
        <v>8.0086536084933222</v>
      </c>
      <c r="F6" s="11" t="s">
        <v>9</v>
      </c>
      <c r="G6" s="11">
        <v>0.623</v>
      </c>
      <c r="H6" s="6">
        <f>(0.9125*G6+7.4153)</f>
        <v>7.9837875</v>
      </c>
      <c r="I6" s="6">
        <f>1+H6</f>
        <v>8.9837875</v>
      </c>
      <c r="J6" s="25">
        <f>10^I6</f>
        <v>963357538.08448529</v>
      </c>
      <c r="K6" s="24">
        <f>J6/100000000</f>
        <v>9.633575380844853</v>
      </c>
      <c r="L6" s="27">
        <f>J6*Yield!$D$14</f>
        <v>54.837275244809163</v>
      </c>
    </row>
    <row r="7" spans="1:12" x14ac:dyDescent="0.25">
      <c r="A7" s="10">
        <f t="shared" si="0"/>
        <v>0.55880000000000019</v>
      </c>
      <c r="B7" s="10">
        <f t="shared" si="1"/>
        <v>7.9252113404111011</v>
      </c>
      <c r="L7" s="8"/>
    </row>
    <row r="8" spans="1:12" x14ac:dyDescent="0.25">
      <c r="A8" s="10">
        <f t="shared" si="0"/>
        <v>0.46736000000000022</v>
      </c>
      <c r="B8" s="10">
        <f t="shared" si="1"/>
        <v>7.84176907232888</v>
      </c>
      <c r="I8" s="18"/>
    </row>
    <row r="9" spans="1:12" x14ac:dyDescent="0.25">
      <c r="A9" s="10">
        <f t="shared" si="0"/>
        <v>0.37592000000000025</v>
      </c>
      <c r="B9" s="10">
        <f t="shared" si="1"/>
        <v>7.7583268042466589</v>
      </c>
      <c r="I9" s="18"/>
    </row>
    <row r="10" spans="1:12" x14ac:dyDescent="0.25">
      <c r="A10" s="10">
        <f t="shared" si="0"/>
        <v>0.28448000000000029</v>
      </c>
      <c r="B10" s="10">
        <f t="shared" si="1"/>
        <v>7.6748845361644378</v>
      </c>
      <c r="I10" s="39"/>
      <c r="J10" s="42"/>
      <c r="K10" s="40"/>
    </row>
    <row r="11" spans="1:12" x14ac:dyDescent="0.25">
      <c r="A11" s="10">
        <f t="shared" si="0"/>
        <v>0.19304000000000029</v>
      </c>
      <c r="B11" s="10">
        <f t="shared" si="1"/>
        <v>7.5914422680822167</v>
      </c>
      <c r="C11" s="12"/>
      <c r="I11" s="39"/>
      <c r="J11" s="42"/>
      <c r="K11" s="40"/>
    </row>
    <row r="12" spans="1:12" x14ac:dyDescent="0.25">
      <c r="A12" s="10">
        <f t="shared" si="0"/>
        <v>0.1016000000000003</v>
      </c>
      <c r="B12" s="10">
        <f t="shared" si="1"/>
        <v>7.5079999999999956</v>
      </c>
      <c r="I12" s="39"/>
      <c r="J12" s="42"/>
      <c r="K12" s="40"/>
    </row>
    <row r="13" spans="1:12" x14ac:dyDescent="0.25">
      <c r="I13" s="39"/>
      <c r="J13" s="42"/>
      <c r="K13" s="40"/>
    </row>
    <row r="14" spans="1:12" x14ac:dyDescent="0.25">
      <c r="I14" s="39"/>
      <c r="J14" s="42"/>
      <c r="K14" s="40"/>
    </row>
    <row r="16" spans="1:12" x14ac:dyDescent="0.25">
      <c r="I16" s="43"/>
      <c r="J16" s="43"/>
    </row>
    <row r="17" spans="9:10" x14ac:dyDescent="0.25">
      <c r="I17" s="43"/>
      <c r="J17" s="43"/>
    </row>
    <row r="18" spans="9:10" x14ac:dyDescent="0.25">
      <c r="I18" s="43"/>
      <c r="J18" s="43"/>
    </row>
    <row r="19" spans="9:10" x14ac:dyDescent="0.25">
      <c r="I19" s="43"/>
      <c r="J19" s="43"/>
    </row>
    <row r="20" spans="9:10" x14ac:dyDescent="0.25">
      <c r="I20" s="43"/>
      <c r="J20" s="43"/>
    </row>
    <row r="21" spans="9:10" x14ac:dyDescent="0.25">
      <c r="I21" s="43"/>
    </row>
    <row r="22" spans="9:10" x14ac:dyDescent="0.25">
      <c r="I22" s="4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I1" workbookViewId="0">
      <selection activeCell="C3" sqref="C3"/>
    </sheetView>
  </sheetViews>
  <sheetFormatPr defaultRowHeight="15" x14ac:dyDescent="0.25"/>
  <cols>
    <col min="5" max="5" width="10.7109375" customWidth="1"/>
    <col min="6" max="6" width="11.140625" customWidth="1"/>
    <col min="7" max="7" width="19" customWidth="1"/>
    <col min="8" max="8" width="16.85546875" customWidth="1"/>
    <col min="9" max="9" width="7.5703125" bestFit="1" customWidth="1"/>
    <col min="10" max="11" width="10.5703125" customWidth="1"/>
    <col min="14" max="14" width="10.7109375" customWidth="1"/>
  </cols>
  <sheetData>
    <row r="1" spans="1:17" x14ac:dyDescent="0.25">
      <c r="A1" s="44" t="s">
        <v>10</v>
      </c>
      <c r="B1" s="45"/>
      <c r="C1" s="47" t="s">
        <v>2</v>
      </c>
      <c r="D1" s="48"/>
      <c r="E1" s="49" t="s">
        <v>3</v>
      </c>
      <c r="F1" s="49"/>
      <c r="G1" s="50" t="s">
        <v>20</v>
      </c>
      <c r="H1" s="52" t="s">
        <v>11</v>
      </c>
      <c r="I1" s="46"/>
      <c r="J1" s="44" t="s">
        <v>1</v>
      </c>
      <c r="K1" s="45"/>
      <c r="L1" s="47" t="s">
        <v>2</v>
      </c>
      <c r="M1" s="48"/>
      <c r="N1" s="49" t="s">
        <v>3</v>
      </c>
      <c r="O1" s="49"/>
      <c r="P1" s="50" t="s">
        <v>4</v>
      </c>
    </row>
    <row r="2" spans="1:17" x14ac:dyDescent="0.25">
      <c r="A2" s="3">
        <v>1</v>
      </c>
      <c r="B2" s="3">
        <v>2</v>
      </c>
      <c r="C2" s="4">
        <v>1</v>
      </c>
      <c r="D2" s="4">
        <v>2</v>
      </c>
      <c r="E2" s="4">
        <v>1</v>
      </c>
      <c r="F2" s="5">
        <v>2</v>
      </c>
      <c r="G2" s="51"/>
      <c r="H2" s="52"/>
      <c r="I2" s="46"/>
      <c r="J2" s="3">
        <v>1</v>
      </c>
      <c r="K2" s="3">
        <v>2</v>
      </c>
      <c r="L2" s="4">
        <v>1</v>
      </c>
      <c r="M2" s="4">
        <v>2</v>
      </c>
      <c r="N2" s="4">
        <v>1</v>
      </c>
      <c r="O2" s="5">
        <v>2</v>
      </c>
      <c r="P2" s="51"/>
      <c r="Q2" t="s">
        <v>35</v>
      </c>
    </row>
    <row r="3" spans="1:17" x14ac:dyDescent="0.25">
      <c r="A3" s="6">
        <v>0.108</v>
      </c>
      <c r="B3" s="6">
        <v>8.7999999999999995E-2</v>
      </c>
      <c r="C3" s="6">
        <f t="shared" ref="C3:D7" si="0">(A3-0.0597)/0.1664</f>
        <v>0.29026442307692307</v>
      </c>
      <c r="D3" s="6">
        <f t="shared" si="0"/>
        <v>0.17007211538461534</v>
      </c>
      <c r="E3" s="6">
        <f t="shared" ref="E3:F7" si="1">C3*1000</f>
        <v>290.26442307692309</v>
      </c>
      <c r="F3" s="6">
        <f t="shared" si="1"/>
        <v>170.07211538461533</v>
      </c>
      <c r="G3" s="6">
        <f>AVERAGE(E3:F3)</f>
        <v>230.16826923076923</v>
      </c>
      <c r="H3" s="15">
        <f>G3/20</f>
        <v>11.508413461538462</v>
      </c>
      <c r="I3" s="8">
        <f>10+[2]Sheet1!$G$14</f>
        <v>10.746878433722905</v>
      </c>
      <c r="J3" s="6">
        <v>0.11600000000000001</v>
      </c>
      <c r="K3" s="6">
        <v>0.11600000000000001</v>
      </c>
      <c r="L3" s="6">
        <f t="shared" ref="L3:M5" si="2">(J3-0.0597)/0.1664</f>
        <v>0.3383413461538462</v>
      </c>
      <c r="M3" s="6">
        <f t="shared" si="2"/>
        <v>0.3383413461538462</v>
      </c>
      <c r="N3" s="6">
        <f t="shared" ref="N3:O7" si="3">L3*10</f>
        <v>3.3834134615384621</v>
      </c>
      <c r="O3" s="6">
        <f t="shared" si="3"/>
        <v>3.3834134615384621</v>
      </c>
      <c r="P3" s="6">
        <f>AVERAGE(N3:O3)</f>
        <v>3.3834134615384621</v>
      </c>
      <c r="Q3" s="34">
        <f>(((N3-P3)^2)+((O3-P3)^2))^0.5</f>
        <v>0</v>
      </c>
    </row>
    <row r="4" spans="1:17" x14ac:dyDescent="0.25">
      <c r="A4" s="6">
        <v>0.26700000000000002</v>
      </c>
      <c r="B4" s="6">
        <v>0.23899999999999999</v>
      </c>
      <c r="C4" s="6">
        <f t="shared" si="0"/>
        <v>1.2457932692307694</v>
      </c>
      <c r="D4" s="6">
        <f t="shared" si="0"/>
        <v>1.0775240384615383</v>
      </c>
      <c r="E4" s="6">
        <f t="shared" si="1"/>
        <v>1245.7932692307693</v>
      </c>
      <c r="F4" s="6">
        <f t="shared" si="1"/>
        <v>1077.5240384615383</v>
      </c>
      <c r="G4" s="6">
        <f>AVERAGE(E4:F4)</f>
        <v>1161.6586538461538</v>
      </c>
      <c r="H4" s="15">
        <f>G4/20</f>
        <v>58.082932692307693</v>
      </c>
      <c r="I4" s="8">
        <f>20+[2]Sheet1!$G$14</f>
        <v>20.746878433722905</v>
      </c>
      <c r="J4" s="6">
        <v>0.14499999999999999</v>
      </c>
      <c r="K4" s="6">
        <v>0.13600000000000001</v>
      </c>
      <c r="L4" s="6">
        <f t="shared" si="2"/>
        <v>0.51262019230769229</v>
      </c>
      <c r="M4" s="6">
        <f t="shared" si="2"/>
        <v>0.45853365384615391</v>
      </c>
      <c r="N4" s="6">
        <f t="shared" si="3"/>
        <v>5.1262019230769234</v>
      </c>
      <c r="O4" s="6">
        <f t="shared" si="3"/>
        <v>4.5853365384615392</v>
      </c>
      <c r="P4" s="6">
        <f>AVERAGE(N4:O4)</f>
        <v>4.8557692307692317</v>
      </c>
      <c r="Q4" s="34">
        <f>(((N4-P4)^2)+((O4-P4)^2))^0.5</f>
        <v>0.38244958117060829</v>
      </c>
    </row>
    <row r="5" spans="1:17" x14ac:dyDescent="0.25">
      <c r="A5" s="6">
        <v>0.41</v>
      </c>
      <c r="B5" s="6">
        <v>0.42799999999999999</v>
      </c>
      <c r="C5" s="6">
        <f t="shared" si="0"/>
        <v>2.1051682692307692</v>
      </c>
      <c r="D5" s="6">
        <f t="shared" si="0"/>
        <v>2.2133413461538458</v>
      </c>
      <c r="E5" s="6">
        <f t="shared" si="1"/>
        <v>2105.1682692307691</v>
      </c>
      <c r="F5" s="6">
        <f t="shared" si="1"/>
        <v>2213.3413461538457</v>
      </c>
      <c r="G5" s="6">
        <f>AVERAGE(E5:F5)</f>
        <v>2159.2548076923076</v>
      </c>
      <c r="H5" s="15">
        <f>G5/20</f>
        <v>107.96274038461539</v>
      </c>
      <c r="I5" s="8">
        <f>30+[2]Sheet1!$G$14</f>
        <v>30.746878433722905</v>
      </c>
      <c r="J5" s="6">
        <v>0.17199999999999999</v>
      </c>
      <c r="K5" s="6">
        <v>0.16700000000000001</v>
      </c>
      <c r="L5" s="6">
        <f t="shared" si="2"/>
        <v>0.6748798076923076</v>
      </c>
      <c r="M5" s="6">
        <f t="shared" si="2"/>
        <v>0.64483173076923084</v>
      </c>
      <c r="N5" s="6">
        <f t="shared" si="3"/>
        <v>6.7487980769230758</v>
      </c>
      <c r="O5" s="6">
        <f t="shared" si="3"/>
        <v>6.4483173076923084</v>
      </c>
      <c r="P5" s="6">
        <f>AVERAGE(N5:O5)</f>
        <v>6.5985576923076916</v>
      </c>
      <c r="Q5" s="34">
        <f>(((N5-P5)^2)+((O5-P5)^2))^0.5</f>
        <v>0.21247198953922572</v>
      </c>
    </row>
    <row r="6" spans="1:17" x14ac:dyDescent="0.25">
      <c r="A6" s="6">
        <v>0.57899999999999996</v>
      </c>
      <c r="B6" s="6">
        <v>0.59899999999999998</v>
      </c>
      <c r="C6" s="6">
        <f t="shared" si="0"/>
        <v>3.1207932692307692</v>
      </c>
      <c r="D6" s="6">
        <f t="shared" si="0"/>
        <v>3.2409855769230771</v>
      </c>
      <c r="E6" s="6">
        <f t="shared" si="1"/>
        <v>3120.7932692307691</v>
      </c>
      <c r="F6" s="6">
        <f t="shared" si="1"/>
        <v>3240.9855769230771</v>
      </c>
      <c r="G6" s="6">
        <f>AVERAGE(E6:F6)</f>
        <v>3180.8894230769229</v>
      </c>
      <c r="H6" s="15">
        <f>G6/20</f>
        <v>159.04447115384613</v>
      </c>
      <c r="I6" s="22">
        <f>40+[2]Sheet1!$G$14</f>
        <v>40.746878433722905</v>
      </c>
      <c r="J6" s="6">
        <v>0.188</v>
      </c>
      <c r="K6" s="6">
        <v>0.17199999999999999</v>
      </c>
      <c r="L6" s="6">
        <f>(J6-0.0786)/0.1628</f>
        <v>0.67199017199017197</v>
      </c>
      <c r="M6" s="6">
        <f>(K6-0.0786)/0.1628</f>
        <v>0.57371007371007365</v>
      </c>
      <c r="N6" s="6">
        <f t="shared" si="3"/>
        <v>6.7199017199017197</v>
      </c>
      <c r="O6" s="6">
        <f t="shared" si="3"/>
        <v>5.7371007371007368</v>
      </c>
      <c r="P6" s="6">
        <f>AVERAGE(N6:O6)</f>
        <v>6.2285012285012282</v>
      </c>
      <c r="Q6" s="34">
        <f>(((N6-P6)^2)+((O6-P6)^2))^0.5</f>
        <v>0.69494523949537845</v>
      </c>
    </row>
    <row r="7" spans="1:17" x14ac:dyDescent="0.25">
      <c r="A7" s="6">
        <v>0.66300000000000003</v>
      </c>
      <c r="B7" s="7">
        <v>0.67200000000000004</v>
      </c>
      <c r="C7" s="6">
        <f t="shared" si="0"/>
        <v>3.6256009615384621</v>
      </c>
      <c r="D7" s="6">
        <f t="shared" si="0"/>
        <v>3.6796875000000004</v>
      </c>
      <c r="E7" s="6">
        <f t="shared" si="1"/>
        <v>3625.6009615384623</v>
      </c>
      <c r="F7" s="6">
        <f t="shared" si="1"/>
        <v>3679.6875000000005</v>
      </c>
      <c r="G7" s="6">
        <f>AVERAGE(E7:F7)</f>
        <v>3652.6442307692314</v>
      </c>
      <c r="H7" s="15">
        <f>G7/20</f>
        <v>182.63221153846158</v>
      </c>
      <c r="I7" s="22">
        <f>50+[2]Sheet1!$G$14</f>
        <v>50.746878433722905</v>
      </c>
      <c r="J7" s="6">
        <v>0.252</v>
      </c>
      <c r="K7" s="7">
        <v>0.249</v>
      </c>
      <c r="L7" s="6">
        <f>(J7-0.0786)/0.1628</f>
        <v>1.065110565110565</v>
      </c>
      <c r="M7" s="6">
        <f>(K7-0.0786)/0.1628</f>
        <v>1.0466830466830466</v>
      </c>
      <c r="N7" s="6">
        <f t="shared" si="3"/>
        <v>10.651105651105651</v>
      </c>
      <c r="O7" s="6">
        <f t="shared" si="3"/>
        <v>10.466830466830466</v>
      </c>
      <c r="P7" s="6">
        <f>AVERAGE(N7:O7)</f>
        <v>10.558968058968059</v>
      </c>
      <c r="Q7" s="34">
        <f>(((N7-P7)^2)+((O7-P7)^2))^0.5</f>
        <v>0.13030223240538386</v>
      </c>
    </row>
    <row r="8" spans="1:17" x14ac:dyDescent="0.25">
      <c r="I8" s="12"/>
    </row>
    <row r="9" spans="1:17" x14ac:dyDescent="0.25">
      <c r="H9" s="18"/>
      <c r="I9" s="12"/>
      <c r="J9" s="15"/>
      <c r="K9" s="15"/>
      <c r="L9" s="15"/>
      <c r="M9" s="15"/>
      <c r="N9" s="15"/>
      <c r="O9" s="15"/>
      <c r="P9" s="15">
        <f>STDEV(N3,O3)</f>
        <v>0</v>
      </c>
      <c r="Q9" s="15"/>
    </row>
    <row r="10" spans="1:17" x14ac:dyDescent="0.25">
      <c r="H10" s="18"/>
      <c r="I10" s="12"/>
      <c r="J10" s="15"/>
      <c r="K10" s="18"/>
      <c r="L10" s="15"/>
      <c r="M10" s="6"/>
      <c r="O10" s="15"/>
      <c r="P10" s="15">
        <f t="shared" ref="P10:P13" si="4">STDEV(N4,O4)</f>
        <v>0.38244958117060829</v>
      </c>
      <c r="Q10" s="15"/>
    </row>
    <row r="11" spans="1:17" x14ac:dyDescent="0.25">
      <c r="A11" s="44" t="s">
        <v>10</v>
      </c>
      <c r="B11" s="45"/>
      <c r="C11" t="s">
        <v>4</v>
      </c>
      <c r="D11" t="s">
        <v>2</v>
      </c>
      <c r="E11" t="s">
        <v>24</v>
      </c>
      <c r="H11" s="18"/>
      <c r="I11" s="12"/>
      <c r="J11" s="8"/>
      <c r="K11" s="18"/>
      <c r="L11" s="8"/>
      <c r="M11" s="8"/>
      <c r="O11" s="8"/>
      <c r="P11" s="15">
        <f t="shared" si="4"/>
        <v>0.21247198953922572</v>
      </c>
      <c r="Q11" s="15"/>
    </row>
    <row r="12" spans="1:17" x14ac:dyDescent="0.25">
      <c r="A12" s="3">
        <v>1</v>
      </c>
      <c r="B12" s="3">
        <v>2</v>
      </c>
      <c r="H12" s="18"/>
      <c r="I12" s="12"/>
      <c r="K12" s="18"/>
      <c r="L12" s="8"/>
      <c r="M12" s="8"/>
      <c r="O12" s="8"/>
      <c r="P12" s="15">
        <f t="shared" si="4"/>
        <v>0.69494523949537845</v>
      </c>
      <c r="Q12" s="15"/>
    </row>
    <row r="13" spans="1:17" x14ac:dyDescent="0.25">
      <c r="A13" s="6">
        <v>0.108</v>
      </c>
      <c r="B13" s="6">
        <v>8.7999999999999995E-2</v>
      </c>
      <c r="C13" s="12">
        <f>AVERAGE(A13:B13)</f>
        <v>9.8000000000000004E-2</v>
      </c>
      <c r="D13" s="6">
        <f>(C13-0.0597)/0.1664</f>
        <v>0.23016826923076925</v>
      </c>
      <c r="E13" s="12">
        <f>D13*1000</f>
        <v>230.16826923076925</v>
      </c>
      <c r="H13" s="18"/>
      <c r="K13" s="18"/>
      <c r="L13" s="8"/>
      <c r="M13" s="8"/>
      <c r="O13" s="8"/>
      <c r="P13" s="15">
        <f t="shared" si="4"/>
        <v>0.13030223240538386</v>
      </c>
      <c r="Q13" s="15"/>
    </row>
    <row r="14" spans="1:17" x14ac:dyDescent="0.25">
      <c r="A14" s="6">
        <v>0.26700000000000002</v>
      </c>
      <c r="B14" s="6">
        <v>0.23899999999999999</v>
      </c>
      <c r="C14" s="12">
        <f>AVERAGE(A14:B14)</f>
        <v>0.253</v>
      </c>
      <c r="D14" s="6">
        <f>(C14-0.0597)/0.1664</f>
        <v>1.161658653846154</v>
      </c>
      <c r="E14" s="12">
        <f>D14*1000</f>
        <v>1161.658653846154</v>
      </c>
      <c r="K14" s="18"/>
      <c r="L14" s="8"/>
      <c r="M14" s="8"/>
      <c r="O14" s="8"/>
      <c r="P14" s="15"/>
      <c r="Q14" s="15"/>
    </row>
    <row r="15" spans="1:17" x14ac:dyDescent="0.25">
      <c r="A15" s="6">
        <v>0.41</v>
      </c>
      <c r="B15" s="6">
        <v>0.42799999999999999</v>
      </c>
      <c r="C15" s="12">
        <f>AVERAGE(A15:B15)</f>
        <v>0.41899999999999998</v>
      </c>
      <c r="D15" s="6">
        <f>(C15-0.0597)/0.1664</f>
        <v>2.1592548076923075</v>
      </c>
      <c r="E15" s="12">
        <f>D15*1000</f>
        <v>2159.2548076923076</v>
      </c>
      <c r="L15" s="8"/>
      <c r="M15" s="8"/>
      <c r="N15" s="8"/>
      <c r="O15" s="8"/>
      <c r="P15" s="15"/>
      <c r="Q15" s="18"/>
    </row>
    <row r="16" spans="1:17" x14ac:dyDescent="0.25">
      <c r="A16" s="6">
        <v>0.57899999999999996</v>
      </c>
      <c r="B16" s="6">
        <v>0.59899999999999998</v>
      </c>
      <c r="C16" s="12">
        <f>AVERAGE(A16:B16)</f>
        <v>0.58899999999999997</v>
      </c>
      <c r="D16" s="6">
        <f>(C16-0.0597)/0.1664</f>
        <v>3.1808894230769234</v>
      </c>
      <c r="E16" s="12">
        <f>D16*1000</f>
        <v>3180.8894230769233</v>
      </c>
      <c r="Q16" s="18"/>
    </row>
    <row r="17" spans="1:17" x14ac:dyDescent="0.25">
      <c r="A17" s="6">
        <v>0.66300000000000003</v>
      </c>
      <c r="B17" s="7">
        <v>0.67200000000000004</v>
      </c>
      <c r="C17" s="12">
        <f>AVERAGE(A17:B17)</f>
        <v>0.66749999999999998</v>
      </c>
      <c r="D17" s="6">
        <f>(C17-0.0597)/0.1664</f>
        <v>3.6526442307692308</v>
      </c>
      <c r="E17" s="12">
        <f>D17*1000</f>
        <v>3652.6442307692309</v>
      </c>
      <c r="Q17" s="18"/>
    </row>
    <row r="18" spans="1:17" x14ac:dyDescent="0.25">
      <c r="Q18" s="18"/>
    </row>
    <row r="19" spans="1:17" x14ac:dyDescent="0.25">
      <c r="D19" s="19" t="s">
        <v>2</v>
      </c>
      <c r="E19" s="20"/>
      <c r="F19" s="21" t="s">
        <v>3</v>
      </c>
      <c r="G19" s="21"/>
      <c r="H19" s="1" t="s">
        <v>20</v>
      </c>
      <c r="M19">
        <f>1/100*20</f>
        <v>0.2</v>
      </c>
      <c r="N19" t="s">
        <v>25</v>
      </c>
      <c r="Q19" s="18"/>
    </row>
    <row r="20" spans="1:17" x14ac:dyDescent="0.25">
      <c r="D20" s="4">
        <v>1</v>
      </c>
      <c r="E20" s="4">
        <v>2</v>
      </c>
      <c r="F20" s="4">
        <v>1</v>
      </c>
      <c r="G20" s="5">
        <v>2</v>
      </c>
      <c r="H20" s="2"/>
      <c r="M20">
        <f>M19/20</f>
        <v>0.01</v>
      </c>
      <c r="N20" t="s">
        <v>26</v>
      </c>
    </row>
    <row r="21" spans="1:17" x14ac:dyDescent="0.25">
      <c r="D21" s="6">
        <f t="shared" ref="D21:E25" si="5">(A13-0.0597)/0.1664</f>
        <v>0.29026442307692307</v>
      </c>
      <c r="E21" s="6">
        <f t="shared" si="5"/>
        <v>0.17007211538461534</v>
      </c>
      <c r="F21" s="6">
        <f t="shared" ref="F21:G25" si="6">D21*1000</f>
        <v>290.26442307692309</v>
      </c>
      <c r="G21" s="6">
        <f t="shared" si="6"/>
        <v>170.07211538461533</v>
      </c>
      <c r="H21" s="6">
        <f>AVERAGE(F21:G21)</f>
        <v>230.16826923076923</v>
      </c>
      <c r="J21" t="s">
        <v>27</v>
      </c>
      <c r="M21">
        <f>M20*1000</f>
        <v>10</v>
      </c>
    </row>
    <row r="22" spans="1:17" x14ac:dyDescent="0.25">
      <c r="D22" s="6">
        <f t="shared" si="5"/>
        <v>1.2457932692307694</v>
      </c>
      <c r="E22" s="6">
        <f t="shared" si="5"/>
        <v>1.0775240384615383</v>
      </c>
      <c r="F22" s="6">
        <f t="shared" si="6"/>
        <v>1245.7932692307693</v>
      </c>
      <c r="G22" s="6">
        <f t="shared" si="6"/>
        <v>1077.5240384615383</v>
      </c>
      <c r="H22" s="6">
        <f>AVERAGE(F22:G22)</f>
        <v>1161.6586538461538</v>
      </c>
      <c r="M22">
        <f>0.4/20</f>
        <v>0.02</v>
      </c>
    </row>
    <row r="23" spans="1:17" x14ac:dyDescent="0.25">
      <c r="D23" s="6">
        <f t="shared" si="5"/>
        <v>2.1051682692307692</v>
      </c>
      <c r="E23" s="6">
        <f t="shared" si="5"/>
        <v>2.2133413461538458</v>
      </c>
      <c r="F23" s="6">
        <f t="shared" si="6"/>
        <v>2105.1682692307691</v>
      </c>
      <c r="G23" s="6">
        <f t="shared" si="6"/>
        <v>2213.3413461538457</v>
      </c>
      <c r="H23" s="6">
        <f>AVERAGE(F23:G23)</f>
        <v>2159.2548076923076</v>
      </c>
      <c r="M23">
        <f>M22*1000</f>
        <v>20</v>
      </c>
    </row>
    <row r="24" spans="1:17" x14ac:dyDescent="0.25">
      <c r="D24" s="6">
        <f t="shared" si="5"/>
        <v>3.1207932692307692</v>
      </c>
      <c r="E24" s="6">
        <f t="shared" si="5"/>
        <v>3.2409855769230771</v>
      </c>
      <c r="F24" s="6">
        <f t="shared" si="6"/>
        <v>3120.7932692307691</v>
      </c>
      <c r="G24" s="6">
        <f t="shared" si="6"/>
        <v>3240.9855769230771</v>
      </c>
      <c r="H24" s="6">
        <f>AVERAGE(F24:G24)</f>
        <v>3180.8894230769229</v>
      </c>
    </row>
    <row r="25" spans="1:17" x14ac:dyDescent="0.25">
      <c r="D25" s="6">
        <f t="shared" si="5"/>
        <v>3.6256009615384621</v>
      </c>
      <c r="E25" s="6">
        <f t="shared" si="5"/>
        <v>3.6796875000000004</v>
      </c>
      <c r="F25" s="6">
        <f t="shared" si="6"/>
        <v>3625.6009615384623</v>
      </c>
      <c r="G25" s="6">
        <f t="shared" si="6"/>
        <v>3679.6875000000005</v>
      </c>
      <c r="H25" s="6">
        <f>AVERAGE(F25:G25)</f>
        <v>3652.6442307692314</v>
      </c>
      <c r="M25" t="s">
        <v>28</v>
      </c>
    </row>
    <row r="26" spans="1:17" x14ac:dyDescent="0.25">
      <c r="M26">
        <f>(0.1*1000)/100</f>
        <v>1</v>
      </c>
      <c r="N26" t="s">
        <v>22</v>
      </c>
    </row>
  </sheetData>
  <mergeCells count="11">
    <mergeCell ref="P1:P2"/>
    <mergeCell ref="A1:B1"/>
    <mergeCell ref="C1:D1"/>
    <mergeCell ref="E1:F1"/>
    <mergeCell ref="G1:G2"/>
    <mergeCell ref="H1:H2"/>
    <mergeCell ref="A11:B11"/>
    <mergeCell ref="I1:I2"/>
    <mergeCell ref="J1:K1"/>
    <mergeCell ref="L1:M1"/>
    <mergeCell ref="N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workbookViewId="0">
      <selection activeCell="P15" sqref="L7:P15"/>
    </sheetView>
  </sheetViews>
  <sheetFormatPr defaultRowHeight="15" x14ac:dyDescent="0.25"/>
  <cols>
    <col min="1" max="1" width="29.42578125" bestFit="1" customWidth="1"/>
    <col min="2" max="2" width="15.5703125" bestFit="1" customWidth="1"/>
    <col min="3" max="4" width="13.7109375" bestFit="1" customWidth="1"/>
    <col min="5" max="5" width="15" bestFit="1" customWidth="1"/>
    <col min="6" max="6" width="14" customWidth="1"/>
    <col min="7" max="7" width="12" bestFit="1" customWidth="1"/>
  </cols>
  <sheetData>
    <row r="1" spans="1:15" s="30" customFormat="1" x14ac:dyDescent="0.25">
      <c r="A1" s="3" t="s">
        <v>46</v>
      </c>
      <c r="B1" s="3" t="s">
        <v>32</v>
      </c>
      <c r="C1" s="29" t="s">
        <v>33</v>
      </c>
      <c r="D1" s="3" t="s">
        <v>34</v>
      </c>
      <c r="E1" s="3" t="s">
        <v>38</v>
      </c>
      <c r="F1" s="31"/>
      <c r="G1" s="31"/>
      <c r="K1" s="37"/>
    </row>
    <row r="2" spans="1:15" x14ac:dyDescent="0.25">
      <c r="A2" s="10">
        <f>Sel!J2*$D$14</f>
        <v>22.217790505098311</v>
      </c>
      <c r="B2" s="33">
        <f>$F$9*$D$14</f>
        <v>1.4927380311995695E-2</v>
      </c>
      <c r="C2" s="6">
        <f>A2-B2</f>
        <v>22.202863124786315</v>
      </c>
      <c r="D2" s="10">
        <f>TGR!I3-TGR!P3</f>
        <v>7.3634649721844436</v>
      </c>
      <c r="E2" s="10">
        <f>C2/D2</f>
        <v>3.0152738158812236</v>
      </c>
      <c r="F2" s="15"/>
      <c r="G2" s="32"/>
      <c r="K2" s="37"/>
    </row>
    <row r="3" spans="1:15" x14ac:dyDescent="0.25">
      <c r="A3" s="10">
        <f>Sel!J3*$D$14</f>
        <v>29.878814872616829</v>
      </c>
      <c r="B3" s="33">
        <f t="shared" ref="B3:B6" si="0">$F$9*$D$14</f>
        <v>1.4927380311995695E-2</v>
      </c>
      <c r="C3" s="6">
        <f t="shared" ref="C3:C6" si="1">A3-B3</f>
        <v>29.863887492304833</v>
      </c>
      <c r="D3" s="10">
        <f>TGR!I4-TGR!P4</f>
        <v>15.891109202953674</v>
      </c>
      <c r="E3" s="10">
        <f t="shared" ref="E3:E6" si="2">C3/D3</f>
        <v>1.8792827555897762</v>
      </c>
      <c r="F3" s="15"/>
      <c r="G3" s="32"/>
      <c r="K3" s="37"/>
    </row>
    <row r="4" spans="1:15" x14ac:dyDescent="0.25">
      <c r="A4" s="10">
        <f>Sel!J4*$D$14</f>
        <v>36.864926081119414</v>
      </c>
      <c r="B4" s="33">
        <f t="shared" si="0"/>
        <v>1.4927380311995695E-2</v>
      </c>
      <c r="C4" s="6">
        <f t="shared" si="1"/>
        <v>36.849998700807419</v>
      </c>
      <c r="D4" s="10">
        <f>TGR!I5-TGR!P5</f>
        <v>24.148320741415212</v>
      </c>
      <c r="E4" s="10">
        <f t="shared" si="2"/>
        <v>1.5259859720849402</v>
      </c>
      <c r="F4" s="15"/>
      <c r="G4" s="32"/>
      <c r="K4" s="37"/>
    </row>
    <row r="5" spans="1:15" x14ac:dyDescent="0.25">
      <c r="A5" s="10">
        <f>Sel!J5*$D$14</f>
        <v>45.484493972079107</v>
      </c>
      <c r="B5" s="33">
        <f t="shared" si="0"/>
        <v>1.4927380311995695E-2</v>
      </c>
      <c r="C5" s="6">
        <f t="shared" si="1"/>
        <v>45.469566591767112</v>
      </c>
      <c r="D5" s="10">
        <f>TGR!I6-TGR!P6</f>
        <v>34.518377205221675</v>
      </c>
      <c r="E5" s="10">
        <f t="shared" si="2"/>
        <v>1.317256785318657</v>
      </c>
      <c r="F5" s="15"/>
      <c r="G5" s="32"/>
      <c r="K5" s="37"/>
    </row>
    <row r="6" spans="1:15" x14ac:dyDescent="0.25">
      <c r="A6" s="10">
        <f>Sel!J6*$D$14</f>
        <v>54.837275244809163</v>
      </c>
      <c r="B6" s="33">
        <f t="shared" si="0"/>
        <v>1.4927380311995695E-2</v>
      </c>
      <c r="C6" s="6">
        <f t="shared" si="1"/>
        <v>54.822347864497168</v>
      </c>
      <c r="D6" s="10">
        <f>TGR!I7-TGR!P7</f>
        <v>40.18791037475485</v>
      </c>
      <c r="E6" s="10">
        <f t="shared" si="2"/>
        <v>1.3641502470089946</v>
      </c>
      <c r="F6" s="15"/>
      <c r="G6" s="32"/>
    </row>
    <row r="7" spans="1:15" x14ac:dyDescent="0.25">
      <c r="A7" s="38"/>
    </row>
    <row r="9" spans="1:15" x14ac:dyDescent="0.25">
      <c r="A9" t="s">
        <v>21</v>
      </c>
      <c r="D9" s="36">
        <f>2.625*100000000*(0.1*20.02/100)/20.02</f>
        <v>262500.00000000006</v>
      </c>
      <c r="E9" t="s">
        <v>15</v>
      </c>
      <c r="F9" s="36">
        <f>((2.625*100000000*20/1000)*1000)/20020</f>
        <v>262237.76223776222</v>
      </c>
      <c r="G9" t="s">
        <v>15</v>
      </c>
      <c r="H9" t="s">
        <v>41</v>
      </c>
      <c r="I9">
        <f>LOG(F9)</f>
        <v>5.4186952302626574</v>
      </c>
      <c r="L9" s="12"/>
      <c r="M9" s="12"/>
      <c r="N9" s="12"/>
      <c r="O9" s="12"/>
    </row>
    <row r="10" spans="1:15" x14ac:dyDescent="0.25">
      <c r="A10" t="s">
        <v>16</v>
      </c>
      <c r="D10">
        <f>37/1000000000000</f>
        <v>3.7000000000000001E-11</v>
      </c>
      <c r="E10" t="s">
        <v>18</v>
      </c>
      <c r="F10" s="17">
        <f>D10*1000</f>
        <v>3.7E-8</v>
      </c>
      <c r="G10" t="s">
        <v>23</v>
      </c>
      <c r="L10" s="12"/>
      <c r="M10" s="12"/>
      <c r="N10" s="12"/>
      <c r="O10" s="12"/>
    </row>
    <row r="11" spans="1:15" x14ac:dyDescent="0.25">
      <c r="A11" t="s">
        <v>17</v>
      </c>
      <c r="D11" s="14">
        <v>0.65</v>
      </c>
      <c r="L11" s="12"/>
      <c r="M11" s="12"/>
      <c r="N11" s="12"/>
      <c r="O11" s="12"/>
    </row>
    <row r="12" spans="1:15" x14ac:dyDescent="0.25">
      <c r="L12" s="12"/>
      <c r="M12" s="12"/>
      <c r="N12" s="12"/>
      <c r="O12" s="12"/>
    </row>
    <row r="13" spans="1:15" x14ac:dyDescent="0.25">
      <c r="C13" t="s">
        <v>36</v>
      </c>
      <c r="L13" s="12"/>
      <c r="M13" s="12"/>
      <c r="N13" s="12"/>
      <c r="O13" s="12"/>
    </row>
    <row r="14" spans="1:15" x14ac:dyDescent="0.25">
      <c r="A14" t="s">
        <v>19</v>
      </c>
      <c r="D14" s="16">
        <f>F10/D11</f>
        <v>5.6923076923076922E-8</v>
      </c>
      <c r="E14" t="s">
        <v>22</v>
      </c>
      <c r="F14" t="s">
        <v>41</v>
      </c>
      <c r="G14">
        <f>LOG(D14)</f>
        <v>-7.2447116325758607</v>
      </c>
    </row>
    <row r="15" spans="1:15" x14ac:dyDescent="0.25">
      <c r="D15" s="17"/>
    </row>
    <row r="17" spans="1:13" x14ac:dyDescent="0.25">
      <c r="E17" s="16"/>
    </row>
    <row r="18" spans="1:13" x14ac:dyDescent="0.25">
      <c r="M18" s="12"/>
    </row>
    <row r="19" spans="1:13" x14ac:dyDescent="0.25">
      <c r="A19" t="s">
        <v>42</v>
      </c>
      <c r="B19" t="s">
        <v>43</v>
      </c>
      <c r="C19" t="s">
        <v>44</v>
      </c>
      <c r="D19" t="s">
        <v>45</v>
      </c>
      <c r="M19" s="12"/>
    </row>
    <row r="20" spans="1:13" x14ac:dyDescent="0.25">
      <c r="A20" s="12">
        <f>LN(A2)</f>
        <v>3.100893342052979</v>
      </c>
      <c r="B20" s="12">
        <f>LN(B2)</f>
        <v>-4.2045581475290001</v>
      </c>
      <c r="C20" s="12">
        <f>A20-B20</f>
        <v>7.3054514895819791</v>
      </c>
      <c r="D20" s="12">
        <f>C20/24</f>
        <v>0.30439381206591581</v>
      </c>
      <c r="J20" s="12"/>
      <c r="M20" s="12"/>
    </row>
    <row r="21" spans="1:13" x14ac:dyDescent="0.25">
      <c r="A21" s="12">
        <f t="shared" ref="A21:B24" si="3">LN(A3)</f>
        <v>3.3971496965803265</v>
      </c>
      <c r="B21" s="12">
        <f t="shared" si="3"/>
        <v>-4.2045581475290001</v>
      </c>
      <c r="C21" s="12">
        <f>A21-B21</f>
        <v>7.6017078441093267</v>
      </c>
      <c r="D21" s="12">
        <f>C21/24</f>
        <v>0.31673782683788859</v>
      </c>
      <c r="J21" s="12"/>
      <c r="M21" s="12"/>
    </row>
    <row r="22" spans="1:13" x14ac:dyDescent="0.25">
      <c r="A22" s="12">
        <f t="shared" si="3"/>
        <v>3.6072605863160287</v>
      </c>
      <c r="B22" s="12">
        <f t="shared" si="3"/>
        <v>-4.2045581475290001</v>
      </c>
      <c r="C22" s="12">
        <f>A22-B22</f>
        <v>7.8118187338450289</v>
      </c>
      <c r="D22" s="12">
        <f>C22/24</f>
        <v>0.32549244724354287</v>
      </c>
      <c r="J22" s="12"/>
      <c r="M22" s="12"/>
    </row>
    <row r="23" spans="1:13" x14ac:dyDescent="0.25">
      <c r="A23" s="12">
        <f t="shared" si="3"/>
        <v>3.8173714760517381</v>
      </c>
      <c r="B23" s="12">
        <f t="shared" si="3"/>
        <v>-4.2045581475290001</v>
      </c>
      <c r="C23" s="12">
        <f>A23-B23</f>
        <v>8.0219296235807391</v>
      </c>
      <c r="D23" s="12">
        <f>C23/24</f>
        <v>0.33424706764919748</v>
      </c>
      <c r="J23" s="12"/>
    </row>
    <row r="24" spans="1:13" x14ac:dyDescent="0.25">
      <c r="A24" s="12">
        <f t="shared" si="3"/>
        <v>4.0043701679165142</v>
      </c>
      <c r="B24" s="12">
        <f>LN(B6)</f>
        <v>-4.2045581475290001</v>
      </c>
      <c r="C24" s="12">
        <f>A24-B24</f>
        <v>8.2089283154455153</v>
      </c>
      <c r="D24" s="12">
        <f>C24/24</f>
        <v>0.34203867981022978</v>
      </c>
      <c r="J24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K4" sqref="K4"/>
    </sheetView>
  </sheetViews>
  <sheetFormatPr defaultRowHeight="15" x14ac:dyDescent="0.25"/>
  <cols>
    <col min="2" max="2" width="12.7109375" bestFit="1" customWidth="1"/>
    <col min="3" max="3" width="12.140625" bestFit="1" customWidth="1"/>
    <col min="6" max="6" width="17.85546875" bestFit="1" customWidth="1"/>
  </cols>
  <sheetData>
    <row r="1" spans="1:12" x14ac:dyDescent="0.25">
      <c r="A1" s="8"/>
      <c r="B1" s="15"/>
      <c r="E1" s="41" t="s">
        <v>37</v>
      </c>
      <c r="F1" s="41" t="s">
        <v>40</v>
      </c>
      <c r="L1" s="12"/>
    </row>
    <row r="2" spans="1:12" x14ac:dyDescent="0.25">
      <c r="A2" s="8"/>
      <c r="B2" s="15"/>
      <c r="E2" s="35">
        <v>0.01</v>
      </c>
      <c r="F2" s="6">
        <f>Yield!D20</f>
        <v>0.30439381206591581</v>
      </c>
      <c r="K2" s="12"/>
    </row>
    <row r="3" spans="1:12" x14ac:dyDescent="0.25">
      <c r="A3" s="8"/>
      <c r="B3" s="15"/>
      <c r="E3" s="35">
        <v>0.02</v>
      </c>
      <c r="F3" s="6">
        <f>Yield!D21</f>
        <v>0.31673782683788859</v>
      </c>
      <c r="K3" s="12"/>
    </row>
    <row r="4" spans="1:12" x14ac:dyDescent="0.25">
      <c r="A4" s="8"/>
      <c r="B4" s="15"/>
      <c r="E4" s="35">
        <v>0.03</v>
      </c>
      <c r="F4" s="6">
        <f>Yield!D22</f>
        <v>0.32549244724354287</v>
      </c>
      <c r="K4" s="12"/>
    </row>
    <row r="5" spans="1:12" x14ac:dyDescent="0.25">
      <c r="E5" s="35">
        <v>0.04</v>
      </c>
      <c r="F5" s="6">
        <f>Yield!D23</f>
        <v>0.33424706764919748</v>
      </c>
      <c r="K5" s="12"/>
    </row>
    <row r="6" spans="1:12" x14ac:dyDescent="0.25">
      <c r="E6" s="35">
        <v>0.05</v>
      </c>
      <c r="F6" s="6">
        <f>Yield!D24</f>
        <v>0.34203867981022978</v>
      </c>
      <c r="K6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Sel</vt:lpstr>
      <vt:lpstr>TGR</vt:lpstr>
      <vt:lpstr>Yield</vt:lpstr>
      <vt:lpstr>Kinetika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Niwan</dc:creator>
  <cp:lastModifiedBy>Niwan</cp:lastModifiedBy>
  <cp:lastPrinted>2018-05-24T15:36:26Z</cp:lastPrinted>
  <dcterms:created xsi:type="dcterms:W3CDTF">2018-03-20T13:30:18Z</dcterms:created>
  <dcterms:modified xsi:type="dcterms:W3CDTF">2018-07-28T07:18:49Z</dcterms:modified>
</cp:coreProperties>
</file>